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brewer\lbrewer\LAB Workpapers\Monthly Statements\2020 STATEMENTS\"/>
    </mc:Choice>
  </mc:AlternateContent>
  <xr:revisionPtr revIDLastSave="0" documentId="8_{97BD16E7-B898-4742-93D5-AD55CE57AE3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Sheet1!$A$2:$H$95</definedName>
    <definedName name="_xlnm.Print_Titles" localSheetId="0">Sheet1!$1:$7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1" l="1"/>
  <c r="F65" i="1"/>
  <c r="D65" i="1"/>
  <c r="D64" i="1"/>
  <c r="C65" i="1"/>
  <c r="F49" i="1"/>
  <c r="F48" i="1"/>
  <c r="D50" i="1"/>
  <c r="D49" i="1"/>
  <c r="D48" i="1"/>
  <c r="C48" i="1"/>
  <c r="F31" i="1"/>
  <c r="F28" i="1"/>
  <c r="F25" i="1"/>
  <c r="F24" i="1"/>
  <c r="D32" i="1"/>
  <c r="D31" i="1"/>
  <c r="D28" i="1"/>
  <c r="D25" i="1"/>
  <c r="D24" i="1"/>
  <c r="C31" i="1"/>
  <c r="C28" i="1"/>
  <c r="F15" i="1"/>
  <c r="F13" i="1"/>
  <c r="D13" i="1"/>
  <c r="C13" i="1"/>
  <c r="G37" i="1" l="1"/>
  <c r="G25" i="1" l="1"/>
  <c r="G24" i="1"/>
  <c r="B48" i="1" l="1"/>
  <c r="B28" i="1"/>
  <c r="E19" i="1" l="1"/>
  <c r="E18" i="1"/>
  <c r="E17" i="1"/>
  <c r="E16" i="1"/>
  <c r="E15" i="1"/>
  <c r="E14" i="1"/>
  <c r="E13" i="1"/>
  <c r="E12" i="1"/>
  <c r="E11" i="1"/>
  <c r="E10" i="1"/>
  <c r="E71" i="1"/>
  <c r="E68" i="1"/>
  <c r="E65" i="1" l="1"/>
  <c r="E50" i="1"/>
  <c r="E32" i="1"/>
  <c r="E40" i="1"/>
  <c r="E75" i="1"/>
  <c r="E74" i="1"/>
  <c r="E73" i="1"/>
  <c r="E72" i="1"/>
  <c r="E70" i="1"/>
  <c r="E69" i="1"/>
  <c r="E67" i="1"/>
  <c r="E66" i="1"/>
  <c r="E64" i="1"/>
  <c r="E63" i="1"/>
  <c r="E62" i="1"/>
  <c r="E61" i="1"/>
  <c r="E60" i="1"/>
  <c r="E59" i="1"/>
  <c r="E58" i="1"/>
  <c r="E57" i="1"/>
  <c r="E53" i="1"/>
  <c r="E52" i="1"/>
  <c r="E51" i="1"/>
  <c r="E49" i="1"/>
  <c r="E47" i="1"/>
  <c r="E46" i="1"/>
  <c r="E45" i="1"/>
  <c r="E41" i="1"/>
  <c r="E39" i="1"/>
  <c r="E38" i="1"/>
  <c r="E37" i="1"/>
  <c r="E36" i="1"/>
  <c r="E35" i="1"/>
  <c r="E34" i="1"/>
  <c r="E33" i="1"/>
  <c r="E31" i="1"/>
  <c r="E29" i="1"/>
  <c r="E27" i="1"/>
  <c r="E26" i="1"/>
  <c r="E25" i="1"/>
  <c r="E24" i="1"/>
  <c r="E30" i="1"/>
  <c r="E48" i="1"/>
  <c r="E28" i="1" l="1"/>
  <c r="C77" i="1"/>
  <c r="F54" i="1"/>
  <c r="D54" i="1"/>
  <c r="C54" i="1"/>
  <c r="D20" i="1"/>
  <c r="G42" i="1"/>
  <c r="G77" i="1"/>
  <c r="D77" i="1"/>
  <c r="E76" i="1"/>
  <c r="B54" i="1"/>
  <c r="B20" i="1"/>
  <c r="A1" i="1"/>
  <c r="G20" i="1"/>
  <c r="G54" i="1"/>
  <c r="B77" i="1"/>
  <c r="E82" i="1"/>
  <c r="E83" i="1"/>
  <c r="E84" i="1"/>
  <c r="E85" i="1"/>
  <c r="E86" i="1"/>
  <c r="B87" i="1"/>
  <c r="E87" i="1"/>
  <c r="D42" i="1" l="1"/>
  <c r="D79" i="1" s="1"/>
  <c r="D89" i="1" s="1"/>
  <c r="B42" i="1"/>
  <c r="B79" i="1" s="1"/>
  <c r="B89" i="1" s="1"/>
  <c r="C20" i="1"/>
  <c r="C42" i="1"/>
  <c r="C79" i="1" s="1"/>
  <c r="F42" i="1"/>
  <c r="F77" i="1"/>
  <c r="G79" i="1"/>
  <c r="G89" i="1" s="1"/>
  <c r="E9" i="1"/>
  <c r="F20" i="1"/>
  <c r="E42" i="1"/>
  <c r="E77" i="1" l="1"/>
  <c r="E54" i="1"/>
  <c r="C89" i="1"/>
  <c r="E20" i="1"/>
  <c r="F79" i="1"/>
  <c r="F89" i="1" s="1"/>
  <c r="E79" i="1" l="1"/>
  <c r="E89" i="1" s="1"/>
</calcChain>
</file>

<file path=xl/sharedStrings.xml><?xml version="1.0" encoding="utf-8"?>
<sst xmlns="http://schemas.openxmlformats.org/spreadsheetml/2006/main" count="100" uniqueCount="87">
  <si>
    <t>Litchfield Historical Society</t>
  </si>
  <si>
    <t>BUDGET VS ACTUAL</t>
  </si>
  <si>
    <t>JAN - DEC</t>
  </si>
  <si>
    <t>SUPPORT &amp; REVENUE</t>
  </si>
  <si>
    <t xml:space="preserve">            GRANTS</t>
  </si>
  <si>
    <t xml:space="preserve">            INTEREST</t>
  </si>
  <si>
    <t xml:space="preserve">            INVESTMENT INCOME</t>
  </si>
  <si>
    <t xml:space="preserve">            RESEARCH SERVICES</t>
  </si>
  <si>
    <t>TOTAL SUPPORT &amp; REVENUE</t>
  </si>
  <si>
    <t>EXPENSES</t>
  </si>
  <si>
    <t xml:space="preserve">      MUSEUM EXPENSES</t>
  </si>
  <si>
    <t xml:space="preserve">            MUSEUM SALARIES</t>
  </si>
  <si>
    <t xml:space="preserve">            MUSEUM PAYROLL TAXES</t>
  </si>
  <si>
    <t xml:space="preserve">            MUSEUM EMPLOYEE BENEFITS</t>
  </si>
  <si>
    <t xml:space="preserve">            CLEANING</t>
  </si>
  <si>
    <t xml:space="preserve">            UTILITIES</t>
  </si>
  <si>
    <t xml:space="preserve">            OFFICE SUPPLIES</t>
  </si>
  <si>
    <t xml:space="preserve">            POSTAGE</t>
  </si>
  <si>
    <t xml:space="preserve">            REPAIRS &amp; MAINTENANCE</t>
  </si>
  <si>
    <t xml:space="preserve">            EXHIBITS</t>
  </si>
  <si>
    <t xml:space="preserve">            BOOKS, DUES &amp; SUBSCRIPTIONS</t>
  </si>
  <si>
    <t xml:space="preserve">            GRANT EXPENSES</t>
  </si>
  <si>
    <t xml:space="preserve">            CURATORIAL EXPENSE</t>
  </si>
  <si>
    <t xml:space="preserve">            LECTURE EXPENSES</t>
  </si>
  <si>
    <t xml:space="preserve">            MISCELLANEOUS</t>
  </si>
  <si>
    <t xml:space="preserve">      TOTAL MUSEUM EXPENSES</t>
  </si>
  <si>
    <t xml:space="preserve">      TAPPING REEVE EXPENSES</t>
  </si>
  <si>
    <t xml:space="preserve">            TAPPING REEVE SALARIES</t>
  </si>
  <si>
    <t xml:space="preserve">            TAPPING REEVE PAYROLL TAXES</t>
  </si>
  <si>
    <t xml:space="preserve">      TOTAL TAPPING REEVE EXPENSES</t>
  </si>
  <si>
    <t xml:space="preserve">      GENERAL EXPENSES</t>
  </si>
  <si>
    <t xml:space="preserve">            GENERAL INSURANCE</t>
  </si>
  <si>
    <t xml:space="preserve">            EMPLOYEE HEALTH INSURANCE</t>
  </si>
  <si>
    <t xml:space="preserve">            LEASED EQUIPMENT</t>
  </si>
  <si>
    <t xml:space="preserve">            AUDITING FEES</t>
  </si>
  <si>
    <t xml:space="preserve">            ACCOUNTING &amp; BOOKKEEPING FEES</t>
  </si>
  <si>
    <t xml:space="preserve">            CONSULTING FEES</t>
  </si>
  <si>
    <t xml:space="preserve">            INVESTMENT FEES</t>
  </si>
  <si>
    <t xml:space="preserve">            LEGAL FEES</t>
  </si>
  <si>
    <t xml:space="preserve">            FUNDRAISING EXPENSES</t>
  </si>
  <si>
    <t xml:space="preserve">            PUBLICITY &amp; PRINTING</t>
  </si>
  <si>
    <t xml:space="preserve">            ENTERTAINMENT</t>
  </si>
  <si>
    <t xml:space="preserve">            FIXED ASSET ADDITIONS</t>
  </si>
  <si>
    <t xml:space="preserve">      TOTAL GENERAL EXPENSES</t>
  </si>
  <si>
    <t>TOTAL EXPENSES</t>
  </si>
  <si>
    <t>TRANSFERS</t>
  </si>
  <si>
    <t xml:space="preserve">            TRANSFERS TO OPERATING FUND</t>
  </si>
  <si>
    <t xml:space="preserve">            TRANSFERS TO CURR RESTR FUND</t>
  </si>
  <si>
    <t xml:space="preserve">            TRANSFERS TO ENDOWMENT FUND</t>
  </si>
  <si>
    <t xml:space="preserve">            TRANSFERS FROM OPERATING FUND</t>
  </si>
  <si>
    <t xml:space="preserve">            TRANSFERS FROM CURR RESTR FUND</t>
  </si>
  <si>
    <t>NET SURPLUS/(DEFICIT)</t>
  </si>
  <si>
    <t xml:space="preserve">            LIBRARY EXPENSE</t>
  </si>
  <si>
    <t xml:space="preserve">            SPONSORSHIPS</t>
  </si>
  <si>
    <t xml:space="preserve">            TECHNOLOGY</t>
  </si>
  <si>
    <t xml:space="preserve">            MUSEUM ACQUISITIONS</t>
  </si>
  <si>
    <t xml:space="preserve">            EDUCATION / COMMUNITY EVENTS</t>
  </si>
  <si>
    <t xml:space="preserve">            TRAVEL, CONFERENCES &amp; CONT EDUC</t>
  </si>
  <si>
    <t>INTERFUND TRANSFERS</t>
  </si>
  <si>
    <t>OPER ACTUAL</t>
  </si>
  <si>
    <t>RESTR ACTUAL</t>
  </si>
  <si>
    <t>OPER BUDGET</t>
  </si>
  <si>
    <t xml:space="preserve">            CREDIT CARD / PAYROLL FEES</t>
  </si>
  <si>
    <t xml:space="preserve">            ADMISSIONS / PROGRAM FEES</t>
  </si>
  <si>
    <t xml:space="preserve">            CURATORIAL CENTER - BARN</t>
  </si>
  <si>
    <t xml:space="preserve">            ANNUAL APPEAL</t>
  </si>
  <si>
    <t xml:space="preserve">            RESERVE</t>
  </si>
  <si>
    <t xml:space="preserve">            CAPITAL IMPROVEMENTS</t>
  </si>
  <si>
    <t xml:space="preserve">            EXHIBIT</t>
  </si>
  <si>
    <t xml:space="preserve">            DEVELOPMENT FEES</t>
  </si>
  <si>
    <t xml:space="preserve">            FUNDRAISING EVENTS</t>
  </si>
  <si>
    <t xml:space="preserve">            GROUNDS MAINTENANCE</t>
  </si>
  <si>
    <t xml:space="preserve">            DUES</t>
  </si>
  <si>
    <t xml:space="preserve">            CONTRIBUTIONS</t>
  </si>
  <si>
    <t>2020 Income and Expense Summary</t>
  </si>
  <si>
    <t>2020 OPER VARIANCE</t>
  </si>
  <si>
    <t>LTB COLLECTION</t>
  </si>
  <si>
    <t xml:space="preserve">            SOFTWARE MAINTENANCE</t>
  </si>
  <si>
    <t xml:space="preserve">            MISCELLANEOUS INCOME</t>
  </si>
  <si>
    <t>2019 INSURANCE - TR</t>
  </si>
  <si>
    <t>2019 TR PIPE BURST</t>
  </si>
  <si>
    <t xml:space="preserve">SBA PPP Loan $78,100 does not appear as income here since it appears on the balance sheet as a </t>
  </si>
  <si>
    <t>2020-$4,827.97 GIVE LOCAL</t>
  </si>
  <si>
    <t>LTB COLLECTION $1,224</t>
  </si>
  <si>
    <t>RON CHESTER BOOK</t>
  </si>
  <si>
    <t>JAN - SEP</t>
  </si>
  <si>
    <t xml:space="preserve">    separate cash account with an offsetting liability until formally forgiven by the SBA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</si>
</sst>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m/d/yy\ h:mm\ AM/PM"/>
    <numFmt numFmtId="165" formatCode="_(* #,##0_);_(* \(#,##0\);_(* &quot;-&quot;??_);_(@_)"/>
  </numFmts>
  <fonts count="9" x14ac:knownFonts="1">
    <font>
      <sz val="10"/>
      <color indexed="8"/>
      <name val="MS Sans Serif"/>
    </font>
    <font>
      <b/>
      <sz val="15.95"/>
      <color indexed="8"/>
      <name val="Arial"/>
      <family val="2"/>
    </font>
    <font>
      <sz val="8.0500000000000007"/>
      <color indexed="8"/>
      <name val="Arial"/>
      <family val="2"/>
    </font>
    <font>
      <sz val="8.0500000000000007"/>
      <color indexed="8"/>
      <name val="Arial"/>
      <family val="2"/>
    </font>
    <font>
      <sz val="8.0500000000000007"/>
      <color indexed="8"/>
      <name val="Arial"/>
      <family val="2"/>
    </font>
    <font>
      <sz val="9.85"/>
      <color indexed="8"/>
      <name val="Times New Roman"/>
      <family val="1"/>
    </font>
    <font>
      <sz val="14"/>
      <color indexed="8"/>
      <name val="Arial"/>
      <family val="2"/>
    </font>
    <font>
      <sz val="9.85"/>
      <color indexed="8"/>
      <name val="Times New Roman"/>
      <family val="1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1" fontId="7" fillId="0" borderId="0" xfId="0" applyNumberFormat="1" applyFont="1" applyAlignment="1">
      <alignment horizontal="right" vertical="center"/>
    </xf>
    <xf numFmtId="41" fontId="7" fillId="0" borderId="0" xfId="0" applyNumberFormat="1" applyFont="1" applyFill="1" applyBorder="1" applyAlignment="1" applyProtection="1">
      <alignment vertical="center"/>
    </xf>
    <xf numFmtId="41" fontId="0" fillId="0" borderId="0" xfId="0" applyNumberFormat="1"/>
    <xf numFmtId="41" fontId="7" fillId="0" borderId="2" xfId="0" applyNumberFormat="1" applyFont="1" applyFill="1" applyBorder="1" applyAlignment="1" applyProtection="1">
      <alignment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/>
    <xf numFmtId="41" fontId="7" fillId="0" borderId="3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41" fontId="7" fillId="0" borderId="5" xfId="0" applyNumberFormat="1" applyFont="1" applyBorder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1" fontId="5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165" fontId="7" fillId="0" borderId="0" xfId="1" applyNumberFormat="1" applyFont="1" applyFill="1" applyBorder="1" applyAlignment="1" applyProtection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65" fontId="7" fillId="0" borderId="0" xfId="1" applyNumberFormat="1" applyFont="1" applyAlignment="1">
      <alignment horizontal="right" vertical="center"/>
    </xf>
    <xf numFmtId="0" fontId="0" fillId="0" borderId="0" xfId="0" quotePrefix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5" zoomScaleNormal="100" workbookViewId="0">
      <pane xSplit="1" ySplit="3" topLeftCell="B8" activePane="bottomRight" state="frozen"/>
      <selection activeCell="A5" sqref="A5"/>
      <selection pane="topRight" activeCell="B5" sqref="B5"/>
      <selection pane="bottomLeft" activeCell="A8" sqref="A8"/>
      <selection pane="bottomRight" activeCell="A6" sqref="A6"/>
    </sheetView>
  </sheetViews>
  <sheetFormatPr defaultColWidth="11.42578125" defaultRowHeight="12.75" x14ac:dyDescent="0.2"/>
  <cols>
    <col min="1" max="1" width="41" bestFit="1" customWidth="1"/>
    <col min="2" max="2" width="12.85546875" customWidth="1"/>
    <col min="3" max="3" width="11.140625" customWidth="1"/>
    <col min="4" max="4" width="11.28515625" customWidth="1"/>
    <col min="5" max="5" width="16.85546875" customWidth="1"/>
    <col min="6" max="6" width="11.28515625" customWidth="1"/>
    <col min="7" max="7" width="12.140625" customWidth="1"/>
    <col min="8" max="8" width="26" customWidth="1"/>
  </cols>
  <sheetData>
    <row r="1" spans="1:8" x14ac:dyDescent="0.2">
      <c r="A1" s="17">
        <f ca="1">NOW()</f>
        <v>44110.591377893521</v>
      </c>
    </row>
    <row r="2" spans="1:8" ht="20.25" x14ac:dyDescent="0.2">
      <c r="A2" s="15" t="s">
        <v>0</v>
      </c>
      <c r="B2" s="15"/>
      <c r="C2" s="14"/>
      <c r="D2" s="14"/>
      <c r="E2" s="14"/>
      <c r="F2" s="14"/>
      <c r="G2" s="14"/>
    </row>
    <row r="3" spans="1:8" ht="18" x14ac:dyDescent="0.2">
      <c r="A3" s="16" t="s">
        <v>74</v>
      </c>
      <c r="B3" s="16"/>
      <c r="C3" s="14"/>
      <c r="D3" s="14"/>
      <c r="E3" s="14"/>
      <c r="F3" s="14"/>
      <c r="G3" s="14"/>
    </row>
    <row r="4" spans="1:8" x14ac:dyDescent="0.2">
      <c r="A4" s="14"/>
      <c r="B4" s="14"/>
      <c r="C4" s="14"/>
      <c r="D4" s="14"/>
      <c r="E4" s="14"/>
      <c r="F4" s="14"/>
      <c r="G4" s="14"/>
    </row>
    <row r="5" spans="1:8" x14ac:dyDescent="0.2">
      <c r="B5" s="1">
        <v>2020</v>
      </c>
      <c r="C5" s="1">
        <v>2020</v>
      </c>
      <c r="D5" s="1">
        <v>2020</v>
      </c>
      <c r="E5" s="20" t="s">
        <v>75</v>
      </c>
      <c r="F5" s="1">
        <v>2019</v>
      </c>
      <c r="G5" s="1">
        <v>2020</v>
      </c>
    </row>
    <row r="6" spans="1:8" x14ac:dyDescent="0.2">
      <c r="B6" s="1" t="s">
        <v>61</v>
      </c>
      <c r="C6" s="1" t="s">
        <v>61</v>
      </c>
      <c r="D6" s="1" t="s">
        <v>59</v>
      </c>
      <c r="E6" s="1" t="s">
        <v>1</v>
      </c>
      <c r="F6" s="1" t="s">
        <v>59</v>
      </c>
      <c r="G6" s="1" t="s">
        <v>60</v>
      </c>
    </row>
    <row r="7" spans="1:8" x14ac:dyDescent="0.2">
      <c r="B7" s="18" t="s">
        <v>2</v>
      </c>
      <c r="C7" s="3" t="s">
        <v>85</v>
      </c>
      <c r="D7" s="3" t="s">
        <v>85</v>
      </c>
      <c r="E7" s="3" t="s">
        <v>85</v>
      </c>
      <c r="F7" s="3" t="s">
        <v>85</v>
      </c>
      <c r="G7" s="3" t="s">
        <v>85</v>
      </c>
    </row>
    <row r="8" spans="1:8" x14ac:dyDescent="0.2">
      <c r="A8" s="2" t="s">
        <v>3</v>
      </c>
    </row>
    <row r="9" spans="1:8" x14ac:dyDescent="0.2">
      <c r="A9" s="2" t="s">
        <v>72</v>
      </c>
      <c r="B9" s="21">
        <v>25000</v>
      </c>
      <c r="C9" s="21">
        <v>12100</v>
      </c>
      <c r="D9" s="21">
        <v>8485</v>
      </c>
      <c r="E9" s="21">
        <f>+D9-C9</f>
        <v>-3615</v>
      </c>
      <c r="F9" s="21">
        <v>14840</v>
      </c>
      <c r="G9" s="21">
        <v>0</v>
      </c>
    </row>
    <row r="10" spans="1:8" x14ac:dyDescent="0.2">
      <c r="A10" s="2" t="s">
        <v>73</v>
      </c>
      <c r="B10" s="21">
        <v>10000</v>
      </c>
      <c r="C10" s="21">
        <v>2300</v>
      </c>
      <c r="D10" s="21">
        <v>8781</v>
      </c>
      <c r="E10" s="21">
        <f t="shared" ref="E10:E19" si="0">+D10-C10</f>
        <v>6481</v>
      </c>
      <c r="F10" s="21">
        <v>8498.99</v>
      </c>
      <c r="G10" s="21">
        <v>10500</v>
      </c>
      <c r="H10" t="s">
        <v>82</v>
      </c>
    </row>
    <row r="11" spans="1:8" x14ac:dyDescent="0.2">
      <c r="A11" s="2" t="s">
        <v>65</v>
      </c>
      <c r="B11" s="21">
        <v>70000</v>
      </c>
      <c r="C11" s="21">
        <v>28600</v>
      </c>
      <c r="D11" s="21">
        <v>70121.710000000006</v>
      </c>
      <c r="E11" s="21">
        <f t="shared" si="0"/>
        <v>41521.710000000006</v>
      </c>
      <c r="F11" s="21">
        <v>36355</v>
      </c>
      <c r="G11" s="21">
        <v>0</v>
      </c>
    </row>
    <row r="12" spans="1:8" x14ac:dyDescent="0.2">
      <c r="A12" s="2" t="s">
        <v>4</v>
      </c>
      <c r="B12" s="21">
        <v>10000</v>
      </c>
      <c r="C12" s="21">
        <v>10000</v>
      </c>
      <c r="D12" s="22">
        <v>15000</v>
      </c>
      <c r="E12" s="21">
        <f t="shared" si="0"/>
        <v>5000</v>
      </c>
      <c r="F12" s="21">
        <v>3503</v>
      </c>
      <c r="G12" s="21">
        <v>32550</v>
      </c>
    </row>
    <row r="13" spans="1:8" x14ac:dyDescent="0.2">
      <c r="A13" s="2" t="s">
        <v>5</v>
      </c>
      <c r="B13" s="21">
        <v>250</v>
      </c>
      <c r="C13" s="22">
        <f>7.48+142.51+37.52</f>
        <v>187.51</v>
      </c>
      <c r="D13" s="22">
        <f>1.53+30.31+12.01</f>
        <v>43.85</v>
      </c>
      <c r="E13" s="21">
        <f t="shared" si="0"/>
        <v>-143.66</v>
      </c>
      <c r="F13" s="22">
        <f>7.72+154.16+38.39</f>
        <v>200.26999999999998</v>
      </c>
      <c r="G13" s="21">
        <v>38</v>
      </c>
    </row>
    <row r="14" spans="1:8" x14ac:dyDescent="0.2">
      <c r="A14" s="2" t="s">
        <v>6</v>
      </c>
      <c r="B14" s="21">
        <v>407000</v>
      </c>
      <c r="C14" s="21">
        <v>305101.25</v>
      </c>
      <c r="D14" s="21">
        <v>305101.25</v>
      </c>
      <c r="E14" s="21">
        <f t="shared" si="0"/>
        <v>0</v>
      </c>
      <c r="F14" s="21">
        <v>301993.75</v>
      </c>
      <c r="G14" s="21">
        <v>0</v>
      </c>
    </row>
    <row r="15" spans="1:8" x14ac:dyDescent="0.2">
      <c r="A15" s="2" t="s">
        <v>63</v>
      </c>
      <c r="B15" s="21">
        <v>12000</v>
      </c>
      <c r="C15" s="21">
        <v>8999.9699999999993</v>
      </c>
      <c r="D15" s="21">
        <v>2281</v>
      </c>
      <c r="E15" s="21">
        <f t="shared" si="0"/>
        <v>-6718.9699999999993</v>
      </c>
      <c r="F15" s="21">
        <f>340+9062</f>
        <v>9402</v>
      </c>
      <c r="G15" s="21">
        <v>0</v>
      </c>
    </row>
    <row r="16" spans="1:8" x14ac:dyDescent="0.2">
      <c r="A16" s="2" t="s">
        <v>7</v>
      </c>
      <c r="B16" s="21">
        <v>250</v>
      </c>
      <c r="C16" s="21">
        <v>187.48</v>
      </c>
      <c r="D16" s="21">
        <v>105</v>
      </c>
      <c r="E16" s="21">
        <f t="shared" si="0"/>
        <v>-82.47999999999999</v>
      </c>
      <c r="F16" s="21">
        <v>555</v>
      </c>
      <c r="G16" s="21">
        <v>0</v>
      </c>
    </row>
    <row r="17" spans="1:8" x14ac:dyDescent="0.2">
      <c r="A17" s="2" t="s">
        <v>70</v>
      </c>
      <c r="B17" s="21">
        <v>55000</v>
      </c>
      <c r="C17" s="21">
        <v>55000</v>
      </c>
      <c r="D17" s="21">
        <v>1685</v>
      </c>
      <c r="E17" s="21">
        <f t="shared" si="0"/>
        <v>-53315</v>
      </c>
      <c r="F17" s="21">
        <v>54038.22</v>
      </c>
      <c r="G17" s="21">
        <v>0</v>
      </c>
    </row>
    <row r="18" spans="1:8" x14ac:dyDescent="0.2">
      <c r="A18" s="2" t="s">
        <v>53</v>
      </c>
      <c r="B18" s="21">
        <v>15000</v>
      </c>
      <c r="C18" s="21">
        <v>15000</v>
      </c>
      <c r="D18" s="21">
        <v>5000</v>
      </c>
      <c r="E18" s="21">
        <f t="shared" si="0"/>
        <v>-10000</v>
      </c>
      <c r="F18" s="21">
        <v>7500</v>
      </c>
      <c r="G18" s="21">
        <v>0</v>
      </c>
    </row>
    <row r="19" spans="1:8" x14ac:dyDescent="0.2">
      <c r="A19" s="2" t="s">
        <v>78</v>
      </c>
      <c r="B19" s="21">
        <v>8500</v>
      </c>
      <c r="C19" s="21">
        <v>6375</v>
      </c>
      <c r="D19" s="21">
        <v>6525.75</v>
      </c>
      <c r="E19" s="21">
        <f t="shared" si="0"/>
        <v>150.75</v>
      </c>
      <c r="F19" s="21">
        <v>15512.11</v>
      </c>
      <c r="G19" s="21">
        <v>0</v>
      </c>
      <c r="H19" s="24" t="s">
        <v>79</v>
      </c>
    </row>
    <row r="20" spans="1:8" x14ac:dyDescent="0.2">
      <c r="A20" s="2" t="s">
        <v>8</v>
      </c>
      <c r="B20" s="7">
        <f t="shared" ref="B20:G20" si="1">SUM(B9:B19)</f>
        <v>613000</v>
      </c>
      <c r="C20" s="7">
        <f t="shared" si="1"/>
        <v>443851.20999999996</v>
      </c>
      <c r="D20" s="7">
        <f t="shared" si="1"/>
        <v>423129.56</v>
      </c>
      <c r="E20" s="7">
        <f t="shared" si="1"/>
        <v>-20721.650000000001</v>
      </c>
      <c r="F20" s="7">
        <f t="shared" si="1"/>
        <v>452398.33999999997</v>
      </c>
      <c r="G20" s="7">
        <f t="shared" si="1"/>
        <v>43088</v>
      </c>
    </row>
    <row r="21" spans="1:8" x14ac:dyDescent="0.2">
      <c r="A21" s="2"/>
      <c r="B21" s="8"/>
      <c r="C21" s="8"/>
      <c r="D21" s="8"/>
      <c r="E21" s="8"/>
      <c r="F21" s="8"/>
      <c r="G21" s="8"/>
    </row>
    <row r="22" spans="1:8" x14ac:dyDescent="0.2">
      <c r="A22" s="2" t="s">
        <v>9</v>
      </c>
      <c r="B22" s="9"/>
      <c r="C22" s="9"/>
      <c r="D22" s="9"/>
      <c r="E22" s="9"/>
      <c r="F22" s="9"/>
      <c r="G22" s="9"/>
    </row>
    <row r="23" spans="1:8" x14ac:dyDescent="0.2">
      <c r="A23" s="2" t="s">
        <v>10</v>
      </c>
      <c r="B23" s="9"/>
      <c r="C23" s="9"/>
      <c r="D23" s="9"/>
      <c r="E23" s="9"/>
      <c r="F23" s="9"/>
      <c r="G23" s="9"/>
    </row>
    <row r="24" spans="1:8" x14ac:dyDescent="0.2">
      <c r="A24" s="2" t="s">
        <v>11</v>
      </c>
      <c r="B24" s="4">
        <v>309378</v>
      </c>
      <c r="C24" s="4">
        <v>226557.52</v>
      </c>
      <c r="D24" s="4">
        <f>209192.09+9472+4785</f>
        <v>223449.09</v>
      </c>
      <c r="E24" s="5">
        <f>+D24-C24</f>
        <v>-3108.429999999993</v>
      </c>
      <c r="F24" s="5">
        <f>200281.23+9758</f>
        <v>210039.23</v>
      </c>
      <c r="G24" s="5">
        <f>937.5+765+742.5+1410</f>
        <v>3855</v>
      </c>
      <c r="H24" t="s">
        <v>76</v>
      </c>
    </row>
    <row r="25" spans="1:8" x14ac:dyDescent="0.2">
      <c r="A25" s="2" t="s">
        <v>12</v>
      </c>
      <c r="B25" s="4">
        <v>30050</v>
      </c>
      <c r="C25" s="4">
        <v>22000.5</v>
      </c>
      <c r="D25" s="4">
        <f>19765.87+904.61+456.98</f>
        <v>21127.46</v>
      </c>
      <c r="E25" s="5">
        <f t="shared" ref="E25:E41" si="2">+D25-C25</f>
        <v>-873.04000000000087</v>
      </c>
      <c r="F25" s="19">
        <f>20731.61+935.22</f>
        <v>21666.83</v>
      </c>
      <c r="G25" s="5">
        <f>71.72+58.52+56.8+107.87</f>
        <v>294.91000000000003</v>
      </c>
      <c r="H25" t="s">
        <v>76</v>
      </c>
    </row>
    <row r="26" spans="1:8" x14ac:dyDescent="0.2">
      <c r="A26" s="2" t="s">
        <v>13</v>
      </c>
      <c r="B26" s="4">
        <v>3250</v>
      </c>
      <c r="C26" s="4">
        <v>2375</v>
      </c>
      <c r="D26" s="4">
        <v>2373.86</v>
      </c>
      <c r="E26" s="5">
        <f t="shared" si="2"/>
        <v>-1.1399999999998727</v>
      </c>
      <c r="F26" s="5">
        <v>2373.86</v>
      </c>
      <c r="G26" s="5">
        <v>0</v>
      </c>
    </row>
    <row r="27" spans="1:8" x14ac:dyDescent="0.2">
      <c r="A27" s="2" t="s">
        <v>14</v>
      </c>
      <c r="B27" s="4">
        <v>5000</v>
      </c>
      <c r="C27" s="4">
        <v>3749.99</v>
      </c>
      <c r="D27" s="4">
        <v>2550</v>
      </c>
      <c r="E27" s="5">
        <f t="shared" si="2"/>
        <v>-1199.9899999999998</v>
      </c>
      <c r="F27" s="5">
        <v>2376.1</v>
      </c>
      <c r="G27" s="5">
        <v>0</v>
      </c>
    </row>
    <row r="28" spans="1:8" x14ac:dyDescent="0.2">
      <c r="A28" s="2" t="s">
        <v>15</v>
      </c>
      <c r="B28" s="4">
        <f>8000+10750+1000+4000</f>
        <v>23750</v>
      </c>
      <c r="C28" s="4">
        <f>5193.62+8304.37+749.98+2999.98</f>
        <v>17247.95</v>
      </c>
      <c r="D28" s="4">
        <f>3564.71+7453.89+574.02+2661.16</f>
        <v>14253.78</v>
      </c>
      <c r="E28" s="5">
        <f t="shared" si="2"/>
        <v>-2994.17</v>
      </c>
      <c r="F28" s="5">
        <f>5394.77+8428.11+665.05+2666.2</f>
        <v>17154.13</v>
      </c>
      <c r="G28" s="5">
        <v>0</v>
      </c>
    </row>
    <row r="29" spans="1:8" x14ac:dyDescent="0.2">
      <c r="A29" s="2" t="s">
        <v>16</v>
      </c>
      <c r="B29" s="4">
        <v>3000</v>
      </c>
      <c r="C29" s="23">
        <v>2400</v>
      </c>
      <c r="D29" s="4">
        <v>1676.9</v>
      </c>
      <c r="E29" s="5">
        <f t="shared" si="2"/>
        <v>-723.09999999999991</v>
      </c>
      <c r="F29" s="5">
        <v>2268.64</v>
      </c>
      <c r="G29" s="5">
        <v>0</v>
      </c>
    </row>
    <row r="30" spans="1:8" x14ac:dyDescent="0.2">
      <c r="A30" s="2" t="s">
        <v>17</v>
      </c>
      <c r="B30" s="4">
        <v>1750</v>
      </c>
      <c r="C30" s="4">
        <v>1312.48</v>
      </c>
      <c r="D30" s="4">
        <v>574</v>
      </c>
      <c r="E30" s="5">
        <f t="shared" si="2"/>
        <v>-738.48</v>
      </c>
      <c r="F30" s="5">
        <v>1586.19</v>
      </c>
      <c r="G30" s="5">
        <v>0</v>
      </c>
    </row>
    <row r="31" spans="1:8" x14ac:dyDescent="0.2">
      <c r="A31" s="2" t="s">
        <v>18</v>
      </c>
      <c r="B31" s="4">
        <v>3000</v>
      </c>
      <c r="C31" s="4">
        <f>1724.99+275</f>
        <v>1999.99</v>
      </c>
      <c r="D31" s="4">
        <f>1820.72+432</f>
        <v>2252.7200000000003</v>
      </c>
      <c r="E31" s="5">
        <f t="shared" si="2"/>
        <v>252.73000000000025</v>
      </c>
      <c r="F31" s="19">
        <f>1467.6+519.5</f>
        <v>1987.1</v>
      </c>
      <c r="G31" s="5">
        <v>0</v>
      </c>
    </row>
    <row r="32" spans="1:8" x14ac:dyDescent="0.2">
      <c r="A32" s="2" t="s">
        <v>71</v>
      </c>
      <c r="B32" s="4">
        <v>7500</v>
      </c>
      <c r="C32" s="4">
        <v>5399.88</v>
      </c>
      <c r="D32" s="4">
        <f>3942.5+500</f>
        <v>4442.5</v>
      </c>
      <c r="E32" s="5">
        <f t="shared" si="2"/>
        <v>-957.38000000000011</v>
      </c>
      <c r="F32" s="5">
        <v>5574.25</v>
      </c>
      <c r="G32" s="5">
        <v>0</v>
      </c>
    </row>
    <row r="33" spans="1:8" x14ac:dyDescent="0.2">
      <c r="A33" s="2" t="s">
        <v>19</v>
      </c>
      <c r="B33" s="4">
        <v>5000</v>
      </c>
      <c r="C33" s="4">
        <v>5000</v>
      </c>
      <c r="D33" s="4">
        <v>6259.58</v>
      </c>
      <c r="E33" s="5">
        <f t="shared" si="2"/>
        <v>1259.58</v>
      </c>
      <c r="F33" s="5">
        <v>6851.01</v>
      </c>
      <c r="G33" s="5">
        <v>0</v>
      </c>
    </row>
    <row r="34" spans="1:8" x14ac:dyDescent="0.2">
      <c r="A34" s="2" t="s">
        <v>7</v>
      </c>
      <c r="B34" s="4">
        <v>0</v>
      </c>
      <c r="C34" s="4">
        <v>0</v>
      </c>
      <c r="D34" s="4">
        <v>0</v>
      </c>
      <c r="E34" s="5">
        <f t="shared" si="2"/>
        <v>0</v>
      </c>
      <c r="F34" s="5">
        <v>0</v>
      </c>
      <c r="G34" s="5">
        <v>0</v>
      </c>
    </row>
    <row r="35" spans="1:8" x14ac:dyDescent="0.2">
      <c r="A35" s="2" t="s">
        <v>20</v>
      </c>
      <c r="B35" s="4">
        <v>4000</v>
      </c>
      <c r="C35" s="4">
        <v>3100</v>
      </c>
      <c r="D35" s="4">
        <v>3639.21</v>
      </c>
      <c r="E35" s="5">
        <f t="shared" si="2"/>
        <v>539.21</v>
      </c>
      <c r="F35" s="5">
        <v>2836.43</v>
      </c>
      <c r="G35" s="5">
        <v>0</v>
      </c>
    </row>
    <row r="36" spans="1:8" x14ac:dyDescent="0.2">
      <c r="A36" s="2" t="s">
        <v>21</v>
      </c>
      <c r="B36" s="4">
        <v>0</v>
      </c>
      <c r="C36" s="4">
        <v>0</v>
      </c>
      <c r="D36" s="4">
        <v>0</v>
      </c>
      <c r="E36" s="5">
        <f t="shared" si="2"/>
        <v>0</v>
      </c>
      <c r="F36" s="5">
        <v>1837.99</v>
      </c>
      <c r="G36" s="5">
        <f>8419.83+10294.79+44244.75+13155+408.38+1647+900+3270</f>
        <v>82339.75</v>
      </c>
    </row>
    <row r="37" spans="1:8" x14ac:dyDescent="0.2">
      <c r="A37" s="2" t="s">
        <v>22</v>
      </c>
      <c r="B37" s="4">
        <v>1500</v>
      </c>
      <c r="C37" s="4">
        <v>1125</v>
      </c>
      <c r="D37" s="4">
        <v>199.65</v>
      </c>
      <c r="E37" s="5">
        <f t="shared" si="2"/>
        <v>-925.35</v>
      </c>
      <c r="F37" s="5">
        <v>342.06</v>
      </c>
      <c r="G37" s="5">
        <f>1224.35+902.85</f>
        <v>2127.1999999999998</v>
      </c>
      <c r="H37" t="s">
        <v>83</v>
      </c>
    </row>
    <row r="38" spans="1:8" x14ac:dyDescent="0.2">
      <c r="A38" s="2" t="s">
        <v>52</v>
      </c>
      <c r="B38" s="4">
        <v>1500</v>
      </c>
      <c r="C38" s="4">
        <v>1125</v>
      </c>
      <c r="D38" s="4">
        <v>52.91</v>
      </c>
      <c r="E38" s="5">
        <f t="shared" si="2"/>
        <v>-1072.0899999999999</v>
      </c>
      <c r="F38" s="5">
        <v>0</v>
      </c>
      <c r="G38" s="5">
        <v>0</v>
      </c>
    </row>
    <row r="39" spans="1:8" x14ac:dyDescent="0.2">
      <c r="A39" s="2" t="s">
        <v>56</v>
      </c>
      <c r="B39" s="4">
        <v>2000</v>
      </c>
      <c r="C39" s="4">
        <v>1499.99</v>
      </c>
      <c r="D39" s="4">
        <v>1092.1300000000001</v>
      </c>
      <c r="E39" s="5">
        <f t="shared" si="2"/>
        <v>-407.8599999999999</v>
      </c>
      <c r="F39" s="5">
        <v>965.22</v>
      </c>
      <c r="G39" s="5">
        <v>0</v>
      </c>
    </row>
    <row r="40" spans="1:8" x14ac:dyDescent="0.2">
      <c r="A40" s="2" t="s">
        <v>23</v>
      </c>
      <c r="B40" s="4">
        <v>2500</v>
      </c>
      <c r="C40" s="4">
        <v>1750</v>
      </c>
      <c r="D40" s="4">
        <v>0</v>
      </c>
      <c r="E40" s="5">
        <f t="shared" si="2"/>
        <v>-1750</v>
      </c>
      <c r="F40" s="5">
        <v>305.20999999999998</v>
      </c>
      <c r="G40" s="5">
        <v>0</v>
      </c>
    </row>
    <row r="41" spans="1:8" x14ac:dyDescent="0.2">
      <c r="A41" s="2" t="s">
        <v>24</v>
      </c>
      <c r="B41" s="4">
        <v>150</v>
      </c>
      <c r="C41" s="4">
        <v>112.5</v>
      </c>
      <c r="D41" s="4">
        <v>25.7</v>
      </c>
      <c r="E41" s="5">
        <f t="shared" si="2"/>
        <v>-86.8</v>
      </c>
      <c r="F41" s="5">
        <v>-23.3</v>
      </c>
      <c r="G41" s="5">
        <v>0</v>
      </c>
    </row>
    <row r="42" spans="1:8" x14ac:dyDescent="0.2">
      <c r="A42" s="2" t="s">
        <v>25</v>
      </c>
      <c r="B42" s="10">
        <f t="shared" ref="B42:G42" si="3">SUM(B24:B41)</f>
        <v>403328</v>
      </c>
      <c r="C42" s="10">
        <f t="shared" si="3"/>
        <v>296755.79999999993</v>
      </c>
      <c r="D42" s="10">
        <f t="shared" si="3"/>
        <v>283969.49000000005</v>
      </c>
      <c r="E42" s="10">
        <f t="shared" si="3"/>
        <v>-12786.309999999992</v>
      </c>
      <c r="F42" s="10">
        <f t="shared" si="3"/>
        <v>278140.95</v>
      </c>
      <c r="G42" s="10">
        <f t="shared" si="3"/>
        <v>88616.86</v>
      </c>
    </row>
    <row r="43" spans="1:8" x14ac:dyDescent="0.2">
      <c r="A43" s="2"/>
      <c r="B43" s="8"/>
      <c r="C43" s="8"/>
      <c r="D43" s="8"/>
      <c r="E43" s="8"/>
      <c r="F43" s="8"/>
      <c r="G43" s="8"/>
    </row>
    <row r="44" spans="1:8" x14ac:dyDescent="0.2">
      <c r="A44" s="2" t="s">
        <v>26</v>
      </c>
      <c r="B44" s="9"/>
      <c r="C44" s="9"/>
      <c r="D44" s="9"/>
      <c r="E44" s="9"/>
      <c r="F44" s="9"/>
      <c r="G44" s="9"/>
    </row>
    <row r="45" spans="1:8" x14ac:dyDescent="0.2">
      <c r="A45" s="2" t="s">
        <v>27</v>
      </c>
      <c r="B45" s="4">
        <v>19000</v>
      </c>
      <c r="C45" s="4">
        <v>13959.49</v>
      </c>
      <c r="D45" s="4">
        <v>1359</v>
      </c>
      <c r="E45" s="5">
        <f t="shared" ref="E45:E53" si="4">+D45-C45</f>
        <v>-12600.49</v>
      </c>
      <c r="F45" s="5">
        <v>11242.53</v>
      </c>
      <c r="G45" s="5">
        <v>0</v>
      </c>
    </row>
    <row r="46" spans="1:8" x14ac:dyDescent="0.2">
      <c r="A46" s="2" t="s">
        <v>28</v>
      </c>
      <c r="B46" s="4">
        <v>1900</v>
      </c>
      <c r="C46" s="4">
        <v>1395.96</v>
      </c>
      <c r="D46" s="4">
        <v>129.77000000000001</v>
      </c>
      <c r="E46" s="5">
        <f t="shared" si="4"/>
        <v>-1266.19</v>
      </c>
      <c r="F46" s="5">
        <v>1075.58</v>
      </c>
      <c r="G46" s="5">
        <v>0</v>
      </c>
    </row>
    <row r="47" spans="1:8" x14ac:dyDescent="0.2">
      <c r="A47" s="2" t="s">
        <v>14</v>
      </c>
      <c r="B47" s="4">
        <v>3000</v>
      </c>
      <c r="C47" s="4">
        <v>2100</v>
      </c>
      <c r="D47" s="4">
        <v>0</v>
      </c>
      <c r="E47" s="5">
        <f t="shared" si="4"/>
        <v>-2100</v>
      </c>
      <c r="F47" s="5">
        <v>1070</v>
      </c>
      <c r="G47" s="5">
        <v>0</v>
      </c>
    </row>
    <row r="48" spans="1:8" x14ac:dyDescent="0.2">
      <c r="A48" s="2" t="s">
        <v>15</v>
      </c>
      <c r="B48" s="4">
        <f>6000+5500+1100+3250</f>
        <v>15850</v>
      </c>
      <c r="C48" s="4">
        <f>4125+4275+1032+2437.48</f>
        <v>11869.48</v>
      </c>
      <c r="D48" s="4">
        <f>2578.81+3776.31+1012.68+2294.43</f>
        <v>9662.23</v>
      </c>
      <c r="E48" s="5">
        <f t="shared" si="4"/>
        <v>-2207.25</v>
      </c>
      <c r="F48" s="5">
        <f>3849.1+3850.51+999.54+1913.76</f>
        <v>10612.910000000002</v>
      </c>
      <c r="G48" s="5">
        <v>0</v>
      </c>
    </row>
    <row r="49" spans="1:8" x14ac:dyDescent="0.2">
      <c r="A49" s="2" t="s">
        <v>18</v>
      </c>
      <c r="B49" s="4">
        <v>1500</v>
      </c>
      <c r="C49" s="4">
        <v>801</v>
      </c>
      <c r="D49" s="4">
        <f>880.88+432</f>
        <v>1312.88</v>
      </c>
      <c r="E49" s="5">
        <f t="shared" si="4"/>
        <v>511.88000000000011</v>
      </c>
      <c r="F49" s="5">
        <f>3574.91+507</f>
        <v>4081.91</v>
      </c>
      <c r="G49" s="5">
        <v>0</v>
      </c>
      <c r="H49" s="24" t="s">
        <v>80</v>
      </c>
    </row>
    <row r="50" spans="1:8" x14ac:dyDescent="0.2">
      <c r="A50" s="2" t="s">
        <v>71</v>
      </c>
      <c r="B50" s="4">
        <v>10000</v>
      </c>
      <c r="C50" s="4">
        <v>7932.56</v>
      </c>
      <c r="D50" s="4">
        <f>6773+750</f>
        <v>7523</v>
      </c>
      <c r="E50" s="5">
        <f t="shared" si="4"/>
        <v>-409.5600000000004</v>
      </c>
      <c r="F50" s="5">
        <v>7676.5</v>
      </c>
      <c r="G50" s="5">
        <v>0</v>
      </c>
    </row>
    <row r="51" spans="1:8" x14ac:dyDescent="0.2">
      <c r="A51" s="2" t="s">
        <v>68</v>
      </c>
      <c r="B51" s="4">
        <v>0</v>
      </c>
      <c r="C51" s="4">
        <v>0</v>
      </c>
      <c r="D51" s="4">
        <v>0</v>
      </c>
      <c r="E51" s="5">
        <f t="shared" si="4"/>
        <v>0</v>
      </c>
      <c r="F51" s="5">
        <v>197.8</v>
      </c>
      <c r="G51" s="5">
        <v>0</v>
      </c>
    </row>
    <row r="52" spans="1:8" x14ac:dyDescent="0.2">
      <c r="A52" s="2" t="s">
        <v>64</v>
      </c>
      <c r="B52" s="4">
        <v>1000</v>
      </c>
      <c r="C52" s="4">
        <v>500</v>
      </c>
      <c r="D52" s="4">
        <v>651.48</v>
      </c>
      <c r="E52" s="5">
        <f t="shared" si="4"/>
        <v>151.48000000000002</v>
      </c>
      <c r="F52" s="5">
        <v>652.54</v>
      </c>
      <c r="G52" s="5">
        <v>0</v>
      </c>
    </row>
    <row r="53" spans="1:8" x14ac:dyDescent="0.2">
      <c r="A53" s="2" t="s">
        <v>24</v>
      </c>
      <c r="B53" s="4">
        <v>0</v>
      </c>
      <c r="C53" s="4">
        <v>0</v>
      </c>
      <c r="D53" s="4">
        <v>0</v>
      </c>
      <c r="E53" s="5">
        <f t="shared" si="4"/>
        <v>0</v>
      </c>
      <c r="F53" s="5">
        <v>0</v>
      </c>
      <c r="G53" s="5"/>
    </row>
    <row r="54" spans="1:8" x14ac:dyDescent="0.2">
      <c r="A54" s="2" t="s">
        <v>29</v>
      </c>
      <c r="B54" s="10">
        <f t="shared" ref="B54:G54" si="5">SUM(B45:B53)</f>
        <v>52250</v>
      </c>
      <c r="C54" s="10">
        <f t="shared" si="5"/>
        <v>38558.49</v>
      </c>
      <c r="D54" s="10">
        <f t="shared" si="5"/>
        <v>20638.36</v>
      </c>
      <c r="E54" s="10">
        <f t="shared" si="5"/>
        <v>-17920.13</v>
      </c>
      <c r="F54" s="10">
        <f t="shared" si="5"/>
        <v>36609.770000000011</v>
      </c>
      <c r="G54" s="10">
        <f t="shared" si="5"/>
        <v>0</v>
      </c>
    </row>
    <row r="55" spans="1:8" x14ac:dyDescent="0.2">
      <c r="A55" s="2"/>
      <c r="B55" s="8"/>
      <c r="C55" s="8"/>
      <c r="D55" s="8"/>
      <c r="E55" s="8"/>
      <c r="F55" s="8"/>
      <c r="G55" s="8"/>
    </row>
    <row r="56" spans="1:8" x14ac:dyDescent="0.2">
      <c r="A56" s="2" t="s">
        <v>30</v>
      </c>
      <c r="B56" s="9"/>
      <c r="C56" s="9"/>
      <c r="D56" s="9"/>
      <c r="E56" s="9"/>
      <c r="F56" s="9"/>
      <c r="G56" s="9"/>
    </row>
    <row r="57" spans="1:8" x14ac:dyDescent="0.2">
      <c r="A57" s="2" t="s">
        <v>31</v>
      </c>
      <c r="B57" s="4">
        <v>18500</v>
      </c>
      <c r="C57" s="4">
        <v>6974.5</v>
      </c>
      <c r="D57" s="4">
        <v>6952.95</v>
      </c>
      <c r="E57" s="5">
        <f t="shared" ref="E57:E75" si="6">+D57-C57</f>
        <v>-21.550000000000182</v>
      </c>
      <c r="F57" s="5">
        <v>5051</v>
      </c>
      <c r="G57" s="5">
        <v>0</v>
      </c>
    </row>
    <row r="58" spans="1:8" x14ac:dyDescent="0.2">
      <c r="A58" s="2" t="s">
        <v>32</v>
      </c>
      <c r="B58" s="4">
        <v>38000</v>
      </c>
      <c r="C58" s="4">
        <v>28499.99</v>
      </c>
      <c r="D58" s="4">
        <v>28184.79</v>
      </c>
      <c r="E58" s="5">
        <f t="shared" si="6"/>
        <v>-315.20000000000073</v>
      </c>
      <c r="F58" s="5">
        <v>25959.14</v>
      </c>
      <c r="G58" s="5">
        <v>0</v>
      </c>
    </row>
    <row r="59" spans="1:8" x14ac:dyDescent="0.2">
      <c r="A59" s="2" t="s">
        <v>77</v>
      </c>
      <c r="B59" s="4">
        <v>10772</v>
      </c>
      <c r="C59" s="4">
        <v>9872</v>
      </c>
      <c r="D59" s="4">
        <v>8100</v>
      </c>
      <c r="E59" s="5">
        <f t="shared" si="6"/>
        <v>-1772</v>
      </c>
      <c r="F59" s="5">
        <v>0</v>
      </c>
      <c r="G59" s="5">
        <v>0</v>
      </c>
    </row>
    <row r="60" spans="1:8" x14ac:dyDescent="0.2">
      <c r="A60" s="2" t="s">
        <v>33</v>
      </c>
      <c r="B60" s="4">
        <v>3650</v>
      </c>
      <c r="C60" s="4">
        <v>2913</v>
      </c>
      <c r="D60" s="4">
        <v>2423.33</v>
      </c>
      <c r="E60" s="5">
        <f t="shared" si="6"/>
        <v>-489.67000000000007</v>
      </c>
      <c r="F60" s="5">
        <v>2552.6</v>
      </c>
      <c r="G60" s="5">
        <v>0</v>
      </c>
    </row>
    <row r="61" spans="1:8" x14ac:dyDescent="0.2">
      <c r="A61" s="2" t="s">
        <v>54</v>
      </c>
      <c r="B61" s="4">
        <v>19000</v>
      </c>
      <c r="C61" s="4">
        <v>14249.98</v>
      </c>
      <c r="D61" s="4">
        <v>14005.32</v>
      </c>
      <c r="E61" s="5">
        <f t="shared" si="6"/>
        <v>-244.65999999999985</v>
      </c>
      <c r="F61" s="5">
        <v>10697.38</v>
      </c>
      <c r="G61" s="5">
        <v>1065.4100000000001</v>
      </c>
    </row>
    <row r="62" spans="1:8" x14ac:dyDescent="0.2">
      <c r="A62" s="2" t="s">
        <v>69</v>
      </c>
      <c r="B62" s="4">
        <v>3500</v>
      </c>
      <c r="C62" s="4">
        <v>2624.99</v>
      </c>
      <c r="D62" s="4">
        <v>2502</v>
      </c>
      <c r="E62" s="5">
        <f t="shared" si="6"/>
        <v>-122.98999999999978</v>
      </c>
      <c r="F62" s="5">
        <v>2502</v>
      </c>
      <c r="G62" s="5">
        <v>0</v>
      </c>
    </row>
    <row r="63" spans="1:8" x14ac:dyDescent="0.2">
      <c r="A63" s="2" t="s">
        <v>34</v>
      </c>
      <c r="B63" s="4">
        <v>9000</v>
      </c>
      <c r="C63" s="4">
        <v>9000</v>
      </c>
      <c r="D63" s="4">
        <v>9585</v>
      </c>
      <c r="E63" s="5">
        <f t="shared" si="6"/>
        <v>585</v>
      </c>
      <c r="F63" s="5">
        <v>9165</v>
      </c>
      <c r="G63" s="5">
        <v>0</v>
      </c>
    </row>
    <row r="64" spans="1:8" x14ac:dyDescent="0.2">
      <c r="A64" s="2" t="s">
        <v>35</v>
      </c>
      <c r="B64" s="4">
        <v>20000</v>
      </c>
      <c r="C64" s="4">
        <v>14999.99</v>
      </c>
      <c r="D64" s="4">
        <f>10939.05+1822.5</f>
        <v>12761.55</v>
      </c>
      <c r="E64" s="5">
        <f t="shared" si="6"/>
        <v>-2238.4400000000005</v>
      </c>
      <c r="F64" s="5">
        <v>16267.5</v>
      </c>
      <c r="G64" s="5">
        <v>0</v>
      </c>
    </row>
    <row r="65" spans="1:8" x14ac:dyDescent="0.2">
      <c r="A65" s="2" t="s">
        <v>62</v>
      </c>
      <c r="B65" s="4">
        <v>1500</v>
      </c>
      <c r="C65" s="4">
        <f>893.25+231.75</f>
        <v>1125</v>
      </c>
      <c r="D65" s="4">
        <f>621.46+304.51</f>
        <v>925.97</v>
      </c>
      <c r="E65" s="5">
        <f t="shared" si="6"/>
        <v>-199.02999999999997</v>
      </c>
      <c r="F65" s="5">
        <f>1134.29+295.66</f>
        <v>1429.95</v>
      </c>
      <c r="G65" s="5">
        <v>0</v>
      </c>
    </row>
    <row r="66" spans="1:8" ht="12.6" hidden="1" customHeight="1" x14ac:dyDescent="0.2">
      <c r="A66" s="2" t="s">
        <v>36</v>
      </c>
      <c r="B66" s="4"/>
      <c r="C66" s="4"/>
      <c r="D66" s="4">
        <v>0</v>
      </c>
      <c r="E66" s="5">
        <f t="shared" si="6"/>
        <v>0</v>
      </c>
      <c r="F66" s="5">
        <v>0</v>
      </c>
      <c r="G66" s="5">
        <v>0</v>
      </c>
    </row>
    <row r="67" spans="1:8" ht="12.6" hidden="1" customHeight="1" x14ac:dyDescent="0.2">
      <c r="A67" s="2" t="s">
        <v>37</v>
      </c>
      <c r="B67" s="4"/>
      <c r="C67" s="4"/>
      <c r="D67" s="4">
        <v>0</v>
      </c>
      <c r="E67" s="5">
        <f t="shared" si="6"/>
        <v>0</v>
      </c>
      <c r="F67" s="5"/>
      <c r="G67" s="5">
        <v>0</v>
      </c>
    </row>
    <row r="68" spans="1:8" hidden="1" x14ac:dyDescent="0.2">
      <c r="A68" s="2" t="s">
        <v>38</v>
      </c>
      <c r="B68" s="4">
        <v>0</v>
      </c>
      <c r="C68" s="4"/>
      <c r="D68" s="4">
        <v>0</v>
      </c>
      <c r="E68" s="5">
        <f t="shared" si="6"/>
        <v>0</v>
      </c>
      <c r="F68" s="5">
        <v>0</v>
      </c>
      <c r="G68" s="5">
        <v>0</v>
      </c>
    </row>
    <row r="69" spans="1:8" x14ac:dyDescent="0.2">
      <c r="A69" s="2" t="s">
        <v>39</v>
      </c>
      <c r="B69" s="4">
        <v>12000</v>
      </c>
      <c r="C69" s="4">
        <v>12000</v>
      </c>
      <c r="D69" s="4">
        <v>2573.88</v>
      </c>
      <c r="E69" s="5">
        <f t="shared" si="6"/>
        <v>-9426.119999999999</v>
      </c>
      <c r="F69" s="19">
        <v>20269.759999999998</v>
      </c>
      <c r="G69" s="5">
        <v>0</v>
      </c>
    </row>
    <row r="70" spans="1:8" x14ac:dyDescent="0.2">
      <c r="A70" s="2" t="s">
        <v>40</v>
      </c>
      <c r="B70" s="4">
        <v>7500</v>
      </c>
      <c r="C70" s="4">
        <v>5650</v>
      </c>
      <c r="D70" s="4">
        <v>2589.4699999999998</v>
      </c>
      <c r="E70" s="5">
        <f t="shared" si="6"/>
        <v>-3060.53</v>
      </c>
      <c r="F70" s="5">
        <v>4297.8599999999997</v>
      </c>
      <c r="G70" s="5">
        <v>1442.11</v>
      </c>
      <c r="H70" t="s">
        <v>84</v>
      </c>
    </row>
    <row r="71" spans="1:8" x14ac:dyDescent="0.2">
      <c r="A71" s="2" t="s">
        <v>55</v>
      </c>
      <c r="B71" s="4">
        <v>500</v>
      </c>
      <c r="C71" s="4">
        <v>0</v>
      </c>
      <c r="D71" s="4">
        <v>0</v>
      </c>
      <c r="E71" s="5">
        <f t="shared" si="6"/>
        <v>0</v>
      </c>
      <c r="F71" s="5">
        <v>0</v>
      </c>
      <c r="G71" s="19">
        <v>6496.71</v>
      </c>
    </row>
    <row r="72" spans="1:8" x14ac:dyDescent="0.2">
      <c r="A72" s="2" t="s">
        <v>41</v>
      </c>
      <c r="B72" s="4">
        <v>1000</v>
      </c>
      <c r="C72" s="4">
        <v>749.98</v>
      </c>
      <c r="D72" s="4">
        <v>24.67</v>
      </c>
      <c r="E72" s="5">
        <f t="shared" si="6"/>
        <v>-725.31000000000006</v>
      </c>
      <c r="F72" s="5">
        <v>155.68</v>
      </c>
      <c r="G72" s="5">
        <v>0</v>
      </c>
    </row>
    <row r="73" spans="1:8" x14ac:dyDescent="0.2">
      <c r="A73" s="2" t="s">
        <v>57</v>
      </c>
      <c r="B73" s="4">
        <v>8500</v>
      </c>
      <c r="C73" s="4">
        <v>7520.64</v>
      </c>
      <c r="D73" s="4">
        <v>2189.59</v>
      </c>
      <c r="E73" s="5">
        <f t="shared" si="6"/>
        <v>-5331.05</v>
      </c>
      <c r="F73" s="5">
        <v>9864.07</v>
      </c>
      <c r="G73" s="5">
        <v>0</v>
      </c>
    </row>
    <row r="74" spans="1:8" x14ac:dyDescent="0.2">
      <c r="A74" s="2" t="s">
        <v>42</v>
      </c>
      <c r="B74" s="4">
        <v>500</v>
      </c>
      <c r="C74" s="4">
        <v>250</v>
      </c>
      <c r="D74" s="4">
        <v>0</v>
      </c>
      <c r="E74" s="5">
        <f t="shared" si="6"/>
        <v>-250</v>
      </c>
      <c r="F74" s="5">
        <v>0</v>
      </c>
      <c r="G74" s="5">
        <v>0</v>
      </c>
    </row>
    <row r="75" spans="1:8" x14ac:dyDescent="0.2">
      <c r="A75" s="2" t="s">
        <v>67</v>
      </c>
      <c r="B75" s="4">
        <v>0</v>
      </c>
      <c r="C75" s="4">
        <v>0</v>
      </c>
      <c r="D75" s="4">
        <v>0</v>
      </c>
      <c r="E75" s="5">
        <f t="shared" si="6"/>
        <v>0</v>
      </c>
      <c r="F75" s="5">
        <v>0</v>
      </c>
      <c r="G75" s="5">
        <v>0</v>
      </c>
    </row>
    <row r="76" spans="1:8" hidden="1" x14ac:dyDescent="0.2">
      <c r="A76" s="2" t="s">
        <v>66</v>
      </c>
      <c r="B76" s="4">
        <v>0</v>
      </c>
      <c r="C76" s="4">
        <v>0</v>
      </c>
      <c r="D76" s="4">
        <v>0</v>
      </c>
      <c r="E76" s="5">
        <f t="shared" ref="E76" si="7">+C76-D76</f>
        <v>0</v>
      </c>
      <c r="F76" s="5">
        <v>0</v>
      </c>
      <c r="G76" s="5">
        <v>0</v>
      </c>
    </row>
    <row r="77" spans="1:8" x14ac:dyDescent="0.2">
      <c r="A77" s="2" t="s">
        <v>43</v>
      </c>
      <c r="B77" s="10">
        <f t="shared" ref="B77:G77" si="8">SUM(B57:B76)</f>
        <v>153922</v>
      </c>
      <c r="C77" s="10">
        <f t="shared" si="8"/>
        <v>116430.06999999999</v>
      </c>
      <c r="D77" s="10">
        <f t="shared" si="8"/>
        <v>92818.52</v>
      </c>
      <c r="E77" s="10">
        <f t="shared" si="8"/>
        <v>-23611.55</v>
      </c>
      <c r="F77" s="10">
        <f t="shared" si="8"/>
        <v>108211.93999999997</v>
      </c>
      <c r="G77" s="10">
        <f t="shared" si="8"/>
        <v>9004.23</v>
      </c>
    </row>
    <row r="78" spans="1:8" x14ac:dyDescent="0.2">
      <c r="A78" s="2"/>
      <c r="B78" s="8"/>
      <c r="C78" s="8"/>
      <c r="D78" s="8"/>
      <c r="E78" s="8"/>
      <c r="F78" s="8"/>
      <c r="G78" s="8"/>
    </row>
    <row r="79" spans="1:8" x14ac:dyDescent="0.2">
      <c r="A79" s="2" t="s">
        <v>44</v>
      </c>
      <c r="B79" s="11">
        <f t="shared" ref="B79:G79" si="9">+B42+B54+B77</f>
        <v>609500</v>
      </c>
      <c r="C79" s="11">
        <f t="shared" si="9"/>
        <v>451744.35999999993</v>
      </c>
      <c r="D79" s="11">
        <f t="shared" si="9"/>
        <v>397426.37000000005</v>
      </c>
      <c r="E79" s="11">
        <f t="shared" si="9"/>
        <v>-54317.989999999991</v>
      </c>
      <c r="F79" s="11">
        <f t="shared" si="9"/>
        <v>422962.66000000003</v>
      </c>
      <c r="G79" s="11">
        <f t="shared" si="9"/>
        <v>97621.09</v>
      </c>
    </row>
    <row r="80" spans="1:8" x14ac:dyDescent="0.2">
      <c r="A80" s="2"/>
      <c r="B80" s="8"/>
      <c r="C80" s="8"/>
      <c r="D80" s="8"/>
      <c r="E80" s="8"/>
      <c r="F80" s="8"/>
      <c r="G80" s="8"/>
    </row>
    <row r="81" spans="1:7" hidden="1" x14ac:dyDescent="0.2">
      <c r="A81" s="2" t="s">
        <v>45</v>
      </c>
      <c r="B81" s="9"/>
      <c r="C81" s="9"/>
      <c r="D81" s="9"/>
      <c r="E81" s="9"/>
      <c r="F81" s="9"/>
      <c r="G81" s="9"/>
    </row>
    <row r="82" spans="1:7" hidden="1" x14ac:dyDescent="0.2">
      <c r="A82" s="2" t="s">
        <v>46</v>
      </c>
      <c r="B82" s="4">
        <v>0</v>
      </c>
      <c r="C82" s="4">
        <v>2843</v>
      </c>
      <c r="D82" s="4">
        <v>2843</v>
      </c>
      <c r="E82" s="5">
        <f>+B82-C82</f>
        <v>-2843</v>
      </c>
      <c r="F82" s="5"/>
      <c r="G82" s="5">
        <v>1384</v>
      </c>
    </row>
    <row r="83" spans="1:7" hidden="1" x14ac:dyDescent="0.2">
      <c r="A83" s="2" t="s">
        <v>47</v>
      </c>
      <c r="B83" s="4">
        <v>0</v>
      </c>
      <c r="C83" s="4">
        <v>600</v>
      </c>
      <c r="D83" s="4">
        <v>600</v>
      </c>
      <c r="E83" s="5">
        <f>+B83-C83</f>
        <v>-600</v>
      </c>
      <c r="F83" s="5"/>
      <c r="G83" s="5">
        <v>0</v>
      </c>
    </row>
    <row r="84" spans="1:7" hidden="1" x14ac:dyDescent="0.2">
      <c r="A84" s="2" t="s">
        <v>48</v>
      </c>
      <c r="B84" s="4">
        <v>0</v>
      </c>
      <c r="C84" s="4">
        <v>200</v>
      </c>
      <c r="D84" s="4">
        <v>200</v>
      </c>
      <c r="E84" s="5">
        <f>+B84-C84</f>
        <v>-200</v>
      </c>
      <c r="F84" s="5"/>
      <c r="G84" s="5">
        <v>0</v>
      </c>
    </row>
    <row r="85" spans="1:7" hidden="1" x14ac:dyDescent="0.2">
      <c r="A85" s="2" t="s">
        <v>49</v>
      </c>
      <c r="B85" s="4">
        <v>0</v>
      </c>
      <c r="C85" s="4">
        <v>-2343</v>
      </c>
      <c r="D85" s="4">
        <v>-2343</v>
      </c>
      <c r="E85" s="5">
        <f>+B85-C85</f>
        <v>2343</v>
      </c>
      <c r="F85" s="5"/>
      <c r="G85" s="5">
        <v>0</v>
      </c>
    </row>
    <row r="86" spans="1:7" hidden="1" x14ac:dyDescent="0.2">
      <c r="A86" s="2" t="s">
        <v>50</v>
      </c>
      <c r="B86" s="4">
        <v>0</v>
      </c>
      <c r="C86" s="4">
        <v>-2179</v>
      </c>
      <c r="D86" s="4">
        <v>-2179</v>
      </c>
      <c r="E86" s="5">
        <f>+B86-C86</f>
        <v>2179</v>
      </c>
      <c r="F86" s="5"/>
      <c r="G86" s="5">
        <v>0</v>
      </c>
    </row>
    <row r="87" spans="1:7" x14ac:dyDescent="0.2">
      <c r="A87" s="2" t="s">
        <v>58</v>
      </c>
      <c r="B87" s="12">
        <f>SUM(B82:B86)</f>
        <v>0</v>
      </c>
      <c r="C87" s="12">
        <v>0</v>
      </c>
      <c r="D87" s="12">
        <v>0</v>
      </c>
      <c r="E87" s="7">
        <f>+C87-D87</f>
        <v>0</v>
      </c>
      <c r="F87" s="12">
        <v>0</v>
      </c>
      <c r="G87" s="12">
        <v>12</v>
      </c>
    </row>
    <row r="88" spans="1:7" x14ac:dyDescent="0.2">
      <c r="B88" s="9"/>
      <c r="C88" s="9"/>
      <c r="D88" s="9"/>
      <c r="E88" s="9"/>
      <c r="F88" s="9"/>
      <c r="G88" s="9"/>
    </row>
    <row r="89" spans="1:7" ht="13.5" thickBot="1" x14ac:dyDescent="0.25">
      <c r="A89" s="2" t="s">
        <v>51</v>
      </c>
      <c r="B89" s="13">
        <f>+B20-B79-B87</f>
        <v>3500</v>
      </c>
      <c r="C89" s="13">
        <f>+C20-C79-C87</f>
        <v>-7893.1499999999651</v>
      </c>
      <c r="D89" s="13">
        <f>+D20-D79-D87</f>
        <v>25703.189999999944</v>
      </c>
      <c r="E89" s="13">
        <f>+E20-E79</f>
        <v>33596.339999999989</v>
      </c>
      <c r="F89" s="13">
        <f>+F20-F79-F87</f>
        <v>29435.679999999935</v>
      </c>
      <c r="G89" s="13">
        <f>+G20-G79-G87</f>
        <v>-54545.09</v>
      </c>
    </row>
    <row r="90" spans="1:7" ht="13.5" thickTop="1" x14ac:dyDescent="0.2">
      <c r="B90" s="6"/>
      <c r="C90" s="6"/>
      <c r="D90" s="6"/>
      <c r="E90" s="6"/>
      <c r="F90" s="6"/>
      <c r="G90" s="6"/>
    </row>
    <row r="93" spans="1:7" x14ac:dyDescent="0.2">
      <c r="A93" t="s">
        <v>81</v>
      </c>
    </row>
    <row r="94" spans="1:7" x14ac:dyDescent="0.2">
      <c r="A94" t="s">
        <v>86</v>
      </c>
    </row>
  </sheetData>
  <phoneticPr fontId="0" type="noConversion"/>
  <printOptions horizontalCentered="1" gridLines="1"/>
  <pageMargins left="0.25" right="0.25" top="0.75" bottom="0.5" header="0" footer="0.25"/>
  <pageSetup scale="83" fitToHeight="2" orientation="landscape" verticalDpi="21760" r:id="rId1"/>
  <headerFooter alignWithMargins="0">
    <oddFooter>Page &amp;P of &amp;N</oddFooter>
  </headerFooter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Brewer</dc:creator>
  <cp:lastModifiedBy>Lynn Brewer</cp:lastModifiedBy>
  <cp:lastPrinted>2020-10-06T18:12:01Z</cp:lastPrinted>
  <dcterms:created xsi:type="dcterms:W3CDTF">2006-03-02T15:58:35Z</dcterms:created>
  <dcterms:modified xsi:type="dcterms:W3CDTF">2020-10-06T18:13:07Z</dcterms:modified>
</cp:coreProperties>
</file>